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an\Nextcloud\Desktop\"/>
    </mc:Choice>
  </mc:AlternateContent>
  <bookViews>
    <workbookView xWindow="0" yWindow="0" windowWidth="15000" windowHeight="10380"/>
  </bookViews>
  <sheets>
    <sheet name="Sheet1" sheetId="1" r:id="rId1"/>
  </sheets>
  <externalReferences>
    <externalReference r:id="rId2"/>
  </externalReferences>
  <definedNames>
    <definedName name="AverageSalaryCalculationComment">[1]Cover!$L$36</definedName>
    <definedName name="BudgetVersion">[1]Cover!$D$12</definedName>
    <definedName name="BudgetYearSalary">[1]Cover!$R$32</definedName>
    <definedName name="CTD">[1]Cover!$P$1</definedName>
    <definedName name="P200CareerEducation">'[1]Page 2'!$N$11</definedName>
    <definedName name="P200CareerEducationCY">'[1]Page 2'!$M$11</definedName>
    <definedName name="P200ELLCompensatoryInstruction">'[1]Page 2'!$N$8</definedName>
    <definedName name="P200ELLCompensatoryInstructionCY">'[1]Page 2'!$M$8</definedName>
    <definedName name="P200ELLIncrementalCosts">'[1]Page 2'!$N$7</definedName>
    <definedName name="P200ELLIncrementalCostsCY">'[1]Page 2'!$M$7</definedName>
    <definedName name="P200GiftedEducation">'[1]Page 2'!$N$6</definedName>
    <definedName name="P200GiftedEducationCY">'[1]Page 2'!$M$6</definedName>
    <definedName name="P200RemedialEducation">'[1]Page 2'!$N$9</definedName>
    <definedName name="P200RemedialEducationCY">'[1]Page 2'!$M$9</definedName>
    <definedName name="P200VocationalandTechnologicalEd">'[1]Page 2'!$N$10</definedName>
    <definedName name="P200VocationalandTechnologicalEdCY">'[1]Page 2'!$M$10</definedName>
    <definedName name="PriorYearSalary">[1]Cover!$R$33</definedName>
    <definedName name="SalaryIncreaseFromPriorYear">[1]Cover!$R$34</definedName>
    <definedName name="SalaryPercentageIncrease">[1]Cover!$R$35</definedName>
    <definedName name="SP1000ClassSiteProj">'[1]Page 1'!$L$44</definedName>
    <definedName name="SP1000ClassSiteProjCY">'[1]Page 1'!$K$44</definedName>
    <definedName name="SP1000CompInstrProj">'[1]Page 1'!$L$47</definedName>
    <definedName name="SP1000CompInstrProjCY">'[1]Page 1'!$K$47</definedName>
    <definedName name="SP1000InstrImpProj">'[1]Page 1'!$L$45</definedName>
    <definedName name="SP1000InstrImpProjCY">'[1]Page 1'!$K$45</definedName>
    <definedName name="SP1000P100F1000">'[1]Page 1'!$L$8</definedName>
    <definedName name="SP1000P100F1000CY">'[1]Page 1'!$K$8</definedName>
    <definedName name="SP1000P100F2100">'[1]Page 1'!$L$10</definedName>
    <definedName name="SP1000P100F2100CY">'[1]Page 1'!$K$10</definedName>
    <definedName name="SP1000P100F2200">'[1]Page 1'!$L$11</definedName>
    <definedName name="SP1000P100F2200CY">'[1]Page 1'!$K$11</definedName>
    <definedName name="SP1000P100F2300">'[1]Page 1'!$L$12</definedName>
    <definedName name="SP1000P100F2300CY">'[1]Page 1'!$K$12</definedName>
    <definedName name="SP1000P100F2400">'[1]Page 1'!$L$13</definedName>
    <definedName name="SP1000P100F2400CY">'[1]Page 1'!$K$13</definedName>
    <definedName name="SP1000P100F2500">'[1]Page 1'!$L$14</definedName>
    <definedName name="SP1000P100F2500CY">'[1]Page 1'!$K$14</definedName>
    <definedName name="SP1000P100F2600">'[1]Page 1'!$L$15</definedName>
    <definedName name="SP1000P100F2600CY">'[1]Page 1'!$K$15</definedName>
    <definedName name="SP1000P100F2900">'[1]Page 1'!$L$16</definedName>
    <definedName name="SP1000P100F2900CY">'[1]Page 1'!$K$16</definedName>
    <definedName name="SP1000P100F3000">'[1]Page 1'!$L$17</definedName>
    <definedName name="SP1000P100F3000CY">'[1]Page 1'!$K$17</definedName>
    <definedName name="SP1000P100F4000">'[1]Page 1'!$L$18</definedName>
    <definedName name="SP1000P100F4000CY">'[1]Page 1'!$K$18</definedName>
    <definedName name="SP1000P100F5000">'[1]Page 1'!$L$19</definedName>
    <definedName name="SP1000P100F5000CY">'[1]Page 1'!$K$19</definedName>
    <definedName name="SP1000P200F1000">'[1]Page 1'!$L$25</definedName>
    <definedName name="SP1000P200F1000CY">'[1]Page 1'!$K$25</definedName>
    <definedName name="SP1000P200F2100">'[1]Page 1'!$L$27</definedName>
    <definedName name="SP1000P200F2100CY">'[1]Page 1'!$K$27</definedName>
    <definedName name="SP1000P200F2200">'[1]Page 1'!$L$28</definedName>
    <definedName name="SP1000P200F2200CY">'[1]Page 1'!$K$28</definedName>
    <definedName name="SP1000P200F2300">'[1]Page 1'!$L$29</definedName>
    <definedName name="SP1000P200F2300CY">'[1]Page 1'!$K$29</definedName>
    <definedName name="SP1000P200F2400">'[1]Page 1'!$L$30</definedName>
    <definedName name="SP1000P200F2400CY">'[1]Page 1'!$K$30</definedName>
    <definedName name="SP1000P200F2500">'[1]Page 1'!$L$31</definedName>
    <definedName name="SP1000P200F2500CY">'[1]Page 1'!$K$31</definedName>
    <definedName name="SP1000P200F2600">'[1]Page 1'!$L$32</definedName>
    <definedName name="SP1000P200F2600CY">'[1]Page 1'!$K$32</definedName>
    <definedName name="SP1000P200F2900">'[1]Page 1'!$L$33</definedName>
    <definedName name="SP1000P200F2900CY">'[1]Page 1'!$K$33</definedName>
    <definedName name="SP1000P200F3000">'[1]Page 1'!$L$34</definedName>
    <definedName name="SP1000P200F3000CY">'[1]Page 1'!$K$34</definedName>
    <definedName name="SP1000P200F4000">'[1]Page 1'!$L$35</definedName>
    <definedName name="SP1000P200F4000CY">'[1]Page 1'!$K$35</definedName>
    <definedName name="SP1000P200F5000">'[1]Page 1'!$L$36</definedName>
    <definedName name="SP1000P200F5000CY">'[1]Page 1'!$K$36</definedName>
    <definedName name="SP1000P400">'[1]Page 1'!$L$39</definedName>
    <definedName name="SP1000P400CY">'[1]Page 1'!$K$39</definedName>
    <definedName name="SP1000P530">'[1]Page 1'!$L$40</definedName>
    <definedName name="SP1000P530CY">'[1]Page 1'!$K$40</definedName>
    <definedName name="SP1000P540">'[1]Page 1'!$L$41</definedName>
    <definedName name="SP1000P540CY">'[1]Page 1'!$K$41</definedName>
    <definedName name="SP1000P550">'[1]Page 1'!$L$42</definedName>
    <definedName name="SP1000P550CY">'[1]Page 1'!$K$42</definedName>
    <definedName name="SP1000P610">'[1]Page 1'!$L$20</definedName>
    <definedName name="SP1000P610CY">'[1]Page 1'!$K$20</definedName>
    <definedName name="SP1000P620">'[1]Page 1'!$L$21</definedName>
    <definedName name="SP1000P620CY">'[1]Page 1'!$K$21</definedName>
    <definedName name="SP1000P630700800900">'[1]Page 1'!$L$22</definedName>
    <definedName name="SP1000P630700800900CY">'[1]Page 1'!$K$22</definedName>
    <definedName name="SP1000StruEngImmProj">'[1]Page 1'!$L$46</definedName>
    <definedName name="SP1000StruEngImmProjCY">'[1]Page 1'!$K$46</definedName>
    <definedName name="SP1000Total">'[1]Page 1'!$L$43</definedName>
    <definedName name="SP1000TotalCY">'[1]Page 1'!$K$43</definedName>
    <definedName name="TotalCapitalAcquisitions">'[1]Page 2'!$E$46</definedName>
    <definedName name="TotalCapitalAcquisitionsCY">'[1]Page 2'!$D$46</definedName>
    <definedName name="TotalFederalProjects">'[1]Page 2'!$E$22</definedName>
    <definedName name="TotalFederalProjectsCY">'[1]Page 2'!$D$22</definedName>
    <definedName name="TotalStateProjects">'[1]Page 2'!$E$36</definedName>
    <definedName name="TotalStateProjectsCY">'[1]Page 2'!$D$36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1" l="1"/>
  <c r="L40" i="1"/>
  <c r="F40" i="1"/>
  <c r="E40" i="1"/>
  <c r="D40" i="1"/>
  <c r="L39" i="1"/>
  <c r="E39" i="1"/>
  <c r="D39" i="1"/>
  <c r="F39" i="1" s="1"/>
  <c r="L38" i="1"/>
  <c r="E38" i="1"/>
  <c r="D38" i="1"/>
  <c r="F38" i="1" s="1"/>
  <c r="L37" i="1"/>
  <c r="M35" i="1" s="1"/>
  <c r="F37" i="1"/>
  <c r="E37" i="1"/>
  <c r="D37" i="1"/>
  <c r="F34" i="1"/>
  <c r="E34" i="1"/>
  <c r="D34" i="1"/>
  <c r="F33" i="1"/>
  <c r="E33" i="1"/>
  <c r="D33" i="1"/>
  <c r="K32" i="1"/>
  <c r="J32" i="1"/>
  <c r="L32" i="1" s="1"/>
  <c r="F32" i="1"/>
  <c r="E32" i="1"/>
  <c r="D32" i="1"/>
  <c r="K31" i="1"/>
  <c r="J31" i="1"/>
  <c r="L31" i="1" s="1"/>
  <c r="F31" i="1"/>
  <c r="E31" i="1"/>
  <c r="D31" i="1"/>
  <c r="K30" i="1"/>
  <c r="J30" i="1"/>
  <c r="L30" i="1" s="1"/>
  <c r="F30" i="1"/>
  <c r="E30" i="1"/>
  <c r="D30" i="1"/>
  <c r="K29" i="1"/>
  <c r="J29" i="1"/>
  <c r="L29" i="1" s="1"/>
  <c r="F29" i="1"/>
  <c r="E29" i="1"/>
  <c r="D29" i="1"/>
  <c r="K28" i="1"/>
  <c r="J28" i="1"/>
  <c r="L28" i="1" s="1"/>
  <c r="E28" i="1"/>
  <c r="F28" i="1" s="1"/>
  <c r="D28" i="1"/>
  <c r="K27" i="1"/>
  <c r="J27" i="1"/>
  <c r="L27" i="1" s="1"/>
  <c r="E27" i="1"/>
  <c r="D27" i="1"/>
  <c r="F27" i="1" s="1"/>
  <c r="K26" i="1"/>
  <c r="J26" i="1"/>
  <c r="L26" i="1" s="1"/>
  <c r="E26" i="1"/>
  <c r="D26" i="1"/>
  <c r="F26" i="1" s="1"/>
  <c r="K25" i="1"/>
  <c r="K33" i="1" s="1"/>
  <c r="J25" i="1"/>
  <c r="J33" i="1" s="1"/>
  <c r="E25" i="1"/>
  <c r="D25" i="1"/>
  <c r="F25" i="1" s="1"/>
  <c r="E23" i="1"/>
  <c r="E35" i="1" s="1"/>
  <c r="D23" i="1"/>
  <c r="D35" i="1" s="1"/>
  <c r="F35" i="1" s="1"/>
  <c r="E20" i="1"/>
  <c r="D20" i="1"/>
  <c r="F20" i="1" s="1"/>
  <c r="E19" i="1"/>
  <c r="D19" i="1"/>
  <c r="F19" i="1" s="1"/>
  <c r="L18" i="1"/>
  <c r="K18" i="1"/>
  <c r="M18" i="1" s="1"/>
  <c r="E18" i="1"/>
  <c r="D18" i="1"/>
  <c r="F18" i="1" s="1"/>
  <c r="L17" i="1"/>
  <c r="K17" i="1"/>
  <c r="M17" i="1" s="1"/>
  <c r="E17" i="1"/>
  <c r="D17" i="1"/>
  <c r="F17" i="1" s="1"/>
  <c r="L16" i="1"/>
  <c r="K16" i="1"/>
  <c r="M16" i="1" s="1"/>
  <c r="E16" i="1"/>
  <c r="D16" i="1"/>
  <c r="F16" i="1" s="1"/>
  <c r="L15" i="1"/>
  <c r="K15" i="1"/>
  <c r="M15" i="1" s="1"/>
  <c r="E15" i="1"/>
  <c r="D15" i="1"/>
  <c r="F15" i="1" s="1"/>
  <c r="L14" i="1"/>
  <c r="K14" i="1"/>
  <c r="M14" i="1" s="1"/>
  <c r="E14" i="1"/>
  <c r="D14" i="1"/>
  <c r="F14" i="1" s="1"/>
  <c r="L13" i="1"/>
  <c r="K13" i="1"/>
  <c r="M13" i="1" s="1"/>
  <c r="E13" i="1"/>
  <c r="D13" i="1"/>
  <c r="F13" i="1" s="1"/>
  <c r="L12" i="1"/>
  <c r="L19" i="1" s="1"/>
  <c r="K12" i="1"/>
  <c r="M12" i="1" s="1"/>
  <c r="E12" i="1"/>
  <c r="D12" i="1"/>
  <c r="F12" i="1" s="1"/>
  <c r="E11" i="1"/>
  <c r="D11" i="1"/>
  <c r="F11" i="1" s="1"/>
  <c r="E10" i="1"/>
  <c r="D10" i="1"/>
  <c r="F10" i="1" s="1"/>
  <c r="E9" i="1"/>
  <c r="D9" i="1"/>
  <c r="F9" i="1" s="1"/>
  <c r="E8" i="1"/>
  <c r="D8" i="1"/>
  <c r="F8" i="1" s="1"/>
  <c r="E6" i="1"/>
  <c r="E21" i="1" s="1"/>
  <c r="E41" i="1" s="1"/>
  <c r="D6" i="1"/>
  <c r="F6" i="1" s="1"/>
  <c r="H3" i="1"/>
  <c r="L1" i="1"/>
  <c r="A1" i="1"/>
  <c r="L33" i="1" l="1"/>
  <c r="F23" i="1"/>
  <c r="L25" i="1"/>
  <c r="K19" i="1"/>
  <c r="M19" i="1" s="1"/>
  <c r="D21" i="1"/>
  <c r="F21" i="1" l="1"/>
  <c r="D41" i="1"/>
  <c r="F41" i="1" s="1"/>
</calcChain>
</file>

<file path=xl/sharedStrings.xml><?xml version="1.0" encoding="utf-8"?>
<sst xmlns="http://schemas.openxmlformats.org/spreadsheetml/2006/main" count="82" uniqueCount="57">
  <si>
    <t>CTDS number</t>
  </si>
  <si>
    <t>Instructions</t>
  </si>
  <si>
    <t>1000 Schoolwide Project</t>
  </si>
  <si>
    <t>Totals</t>
  </si>
  <si>
    <t>%</t>
  </si>
  <si>
    <t>Prior year</t>
  </si>
  <si>
    <t>Budget year</t>
  </si>
  <si>
    <t>Increase/</t>
  </si>
  <si>
    <t>100 Regular education</t>
  </si>
  <si>
    <t>decrease</t>
  </si>
  <si>
    <t>1000 Instruction</t>
  </si>
  <si>
    <t>Support services</t>
  </si>
  <si>
    <t>2100 Students</t>
  </si>
  <si>
    <t>2200 Instruction</t>
  </si>
  <si>
    <t>2300 General administration</t>
  </si>
  <si>
    <t>Special education programs</t>
  </si>
  <si>
    <t>2400 School administration</t>
  </si>
  <si>
    <t>2500 Central services</t>
  </si>
  <si>
    <t>Total all disability classifications</t>
  </si>
  <si>
    <t>2600 Operation &amp; maintenance of plant</t>
  </si>
  <si>
    <t>Gifted education</t>
  </si>
  <si>
    <t>2900 Other support services</t>
  </si>
  <si>
    <t>ELL incremental costs</t>
  </si>
  <si>
    <t>3000 Operation of noninstructional services</t>
  </si>
  <si>
    <t>ELL compensatory instruction</t>
  </si>
  <si>
    <t>4000 Facilities acquisition &amp; construction</t>
  </si>
  <si>
    <t>Remedial education</t>
  </si>
  <si>
    <t>5000 Debt service</t>
  </si>
  <si>
    <t>Vocational and technical ed.</t>
  </si>
  <si>
    <t>610 School-sponsored cocurricular activities</t>
  </si>
  <si>
    <t>Career education</t>
  </si>
  <si>
    <t>620 School-sponsored athletics</t>
  </si>
  <si>
    <t>Total</t>
  </si>
  <si>
    <t>630, 700, 800, 900 Other programs</t>
  </si>
  <si>
    <t>Regular education subtotal</t>
  </si>
  <si>
    <t>Expenses by project</t>
  </si>
  <si>
    <t>200 Special education</t>
  </si>
  <si>
    <t>Schoolwide</t>
  </si>
  <si>
    <t>Classroom Site Project</t>
  </si>
  <si>
    <t>Instructional Improvement</t>
  </si>
  <si>
    <t>English Language Learner</t>
  </si>
  <si>
    <t>ELL Compensatory Instruction</t>
  </si>
  <si>
    <t>Federal projects</t>
  </si>
  <si>
    <t>State projects</t>
  </si>
  <si>
    <t>Capital acquisitions</t>
  </si>
  <si>
    <t>Total expenses</t>
  </si>
  <si>
    <t>Special education subtotal</t>
  </si>
  <si>
    <t>Average teacher salary</t>
  </si>
  <si>
    <t>300 Special Ed.Disability Title 8 PL 103-382 Add-On</t>
  </si>
  <si>
    <t>400 Pupil transportation</t>
  </si>
  <si>
    <r>
      <t>Average salary of all teachers employed in the budget year 20</t>
    </r>
    <r>
      <rPr>
        <sz val="11"/>
        <color theme="1"/>
        <rFont val="Calibri"/>
        <family val="2"/>
        <scheme val="minor"/>
      </rPr>
      <t>26</t>
    </r>
  </si>
  <si>
    <t>530 Dropout prevention programs</t>
  </si>
  <si>
    <r>
      <t>Average salary of all teachers employed in the prior year 202</t>
    </r>
    <r>
      <rPr>
        <sz val="11"/>
        <color theme="1"/>
        <rFont val="Calibri"/>
        <family val="2"/>
        <scheme val="minor"/>
      </rPr>
      <t>5</t>
    </r>
  </si>
  <si>
    <t>540 Joint career &amp; tech. ed. &amp; voc. ed. center</t>
  </si>
  <si>
    <r>
      <t>Increase in average teacher salary from the prior year 202</t>
    </r>
    <r>
      <rPr>
        <sz val="11"/>
        <color theme="1"/>
        <rFont val="Calibri"/>
        <family val="2"/>
        <scheme val="minor"/>
      </rPr>
      <t>5</t>
    </r>
  </si>
  <si>
    <t>550 K-3 Reading</t>
  </si>
  <si>
    <t>Percentage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</si>
</sst>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sz val="11"/>
      <color theme="1"/>
      <name val="Calibri"/>
      <family val="2"/>
      <scheme val="minor"/>
    </font>
    <font>
      <b/>
      <sz val="10"/>
      <name val="Arial"/>
      <family val="2"/>
    </font>
    <font>
      <sz val="10"/>
      <color rgb="FF000000"/>
      <name val="Arial"/>
      <family val="2"/>
    </font>
    <font>
      <u/>
      <sz val="9"/>
      <color indexed="12"/>
      <name val="Arial"/>
      <family val="2"/>
    </font>
    <font>
      <b/>
      <sz val="10"/>
      <color rgb="FF0000FF"/>
      <name val="Arial"/>
      <family val="2"/>
    </font>
    <font>
      <b/>
      <sz val="10"/>
      <color rgb="FF000000"/>
      <name val="Arial"/>
      <family val="2"/>
    </font>
    <font>
      <b/>
      <sz val="10"/>
      <color rgb="FFFF0000"/>
      <name val="Arial"/>
      <family val="2"/>
    </font>
  </fonts>
  <fills count="3">
    <fill>
      <patternFill patternType="none"/>
    </fill>
    <fill>
      <patternFill patternType="gray125"/>
    </fill>
    <fill>
      <patternFill patternType="solid">
        <fgColor rgb="FFCCFFFF"/>
        <bgColor indexed="64"/>
      </patternFill>
    </fill>
  </fills>
  <borders count="1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protection locked="0"/>
    </xf>
  </cellStyleXfs>
  <cellXfs count="84">
    <xf numFmtId="0" fontId="0" fillId="0" borderId="0" xfId="0"/>
    <xf numFmtId="0" fontId="0" fillId="0" borderId="0" xfId="0" applyAlignment="1">
      <alignment horizontal="left"/>
    </xf>
    <xf numFmtId="49" fontId="3" fillId="0" borderId="1" xfId="0" applyNumberFormat="1" applyFont="1" applyBorder="1"/>
    <xf numFmtId="0" fontId="3" fillId="0" borderId="0" xfId="0" applyFont="1"/>
    <xf numFmtId="0" fontId="2" fillId="0" borderId="2" xfId="0" applyFont="1" applyBorder="1"/>
    <xf numFmtId="0" fontId="3" fillId="0" borderId="3" xfId="0" applyFont="1" applyBorder="1"/>
    <xf numFmtId="0" fontId="3" fillId="0" borderId="5" xfId="0" applyFont="1" applyBorder="1" applyAlignment="1">
      <alignment horizontal="center"/>
    </xf>
    <xf numFmtId="0" fontId="3" fillId="0" borderId="6" xfId="0" applyFont="1" applyBorder="1"/>
    <xf numFmtId="0" fontId="0" fillId="0" borderId="5" xfId="0" applyBorder="1" applyAlignment="1">
      <alignment horizontal="center"/>
    </xf>
    <xf numFmtId="0" fontId="3" fillId="0" borderId="7" xfId="0" applyFont="1" applyBorder="1" applyAlignment="1">
      <alignment horizontal="center"/>
    </xf>
    <xf numFmtId="0" fontId="0" fillId="0" borderId="8" xfId="0" applyBorder="1" applyAlignment="1">
      <alignment horizontal="center"/>
    </xf>
    <xf numFmtId="0" fontId="3" fillId="0" borderId="9" xfId="0" applyFont="1" applyBorder="1" applyAlignment="1">
      <alignment horizontal="center"/>
    </xf>
    <xf numFmtId="38" fontId="3" fillId="0" borderId="8" xfId="0" applyNumberFormat="1" applyFont="1" applyBorder="1"/>
    <xf numFmtId="164" fontId="0" fillId="0" borderId="5" xfId="0" applyNumberFormat="1" applyBorder="1"/>
    <xf numFmtId="0" fontId="3" fillId="0" borderId="5" xfId="0" applyFont="1" applyBorder="1"/>
    <xf numFmtId="0" fontId="3" fillId="0" borderId="2" xfId="0" applyFont="1" applyBorder="1"/>
    <xf numFmtId="38" fontId="3" fillId="0" borderId="10" xfId="0" applyNumberFormat="1" applyFont="1" applyBorder="1"/>
    <xf numFmtId="164" fontId="0" fillId="0" borderId="8" xfId="0" applyNumberFormat="1" applyBorder="1"/>
    <xf numFmtId="0" fontId="3" fillId="0" borderId="0" xfId="0" applyFont="1" applyAlignment="1">
      <alignment vertical="center" wrapText="1"/>
    </xf>
    <xf numFmtId="38" fontId="3" fillId="0" borderId="11" xfId="0" applyNumberFormat="1" applyFont="1" applyBorder="1"/>
    <xf numFmtId="164" fontId="0" fillId="0" borderId="12" xfId="0" applyNumberFormat="1" applyBorder="1"/>
    <xf numFmtId="0" fontId="3" fillId="0" borderId="4" xfId="0" applyFont="1" applyBorder="1"/>
    <xf numFmtId="0" fontId="2" fillId="0" borderId="6" xfId="0" applyFont="1" applyBorder="1" applyAlignment="1">
      <alignment horizontal="left"/>
    </xf>
    <xf numFmtId="0" fontId="6" fillId="0" borderId="0" xfId="0" applyFont="1" applyAlignment="1">
      <alignment horizontal="left"/>
    </xf>
    <xf numFmtId="0" fontId="3" fillId="0" borderId="7" xfId="0" applyFont="1" applyBorder="1"/>
    <xf numFmtId="0" fontId="6" fillId="0" borderId="10" xfId="0" applyFont="1" applyBorder="1" applyAlignment="1">
      <alignment horizontal="left"/>
    </xf>
    <xf numFmtId="0" fontId="6" fillId="0" borderId="1" xfId="0" applyFont="1" applyBorder="1" applyAlignment="1">
      <alignment horizontal="left"/>
    </xf>
    <xf numFmtId="0" fontId="3" fillId="0" borderId="9" xfId="0" applyFont="1" applyBorder="1"/>
    <xf numFmtId="0" fontId="0" fillId="0" borderId="6" xfId="0" applyBorder="1" applyAlignment="1">
      <alignment horizontal="left"/>
    </xf>
    <xf numFmtId="0" fontId="0" fillId="0" borderId="7" xfId="0" applyBorder="1"/>
    <xf numFmtId="38" fontId="3" fillId="0" borderId="5" xfId="0" applyNumberFormat="1" applyFont="1" applyBorder="1"/>
    <xf numFmtId="164" fontId="0" fillId="0" borderId="11" xfId="0" applyNumberFormat="1" applyBorder="1"/>
    <xf numFmtId="0" fontId="3" fillId="0" borderId="0" xfId="0" applyFont="1" applyAlignment="1">
      <alignment horizontal="left"/>
    </xf>
    <xf numFmtId="38" fontId="3" fillId="0" borderId="0" xfId="0" applyNumberFormat="1" applyFont="1"/>
    <xf numFmtId="164" fontId="0" fillId="0" borderId="0" xfId="0" applyNumberFormat="1"/>
    <xf numFmtId="0" fontId="3" fillId="0" borderId="10" xfId="0" applyFont="1" applyBorder="1"/>
    <xf numFmtId="0" fontId="3" fillId="0" borderId="1" xfId="0" applyFont="1" applyBorder="1"/>
    <xf numFmtId="38" fontId="3" fillId="0" borderId="12" xfId="0" applyNumberFormat="1" applyFont="1" applyBorder="1"/>
    <xf numFmtId="38" fontId="3" fillId="0" borderId="6" xfId="0" applyNumberFormat="1" applyFont="1" applyBorder="1"/>
    <xf numFmtId="0" fontId="6" fillId="0" borderId="6" xfId="0" applyFont="1" applyBorder="1"/>
    <xf numFmtId="0" fontId="3" fillId="0" borderId="13" xfId="0" applyFont="1" applyBorder="1"/>
    <xf numFmtId="0" fontId="3" fillId="0" borderId="15" xfId="0" applyFont="1" applyBorder="1"/>
    <xf numFmtId="0" fontId="0" fillId="0" borderId="13" xfId="0" applyBorder="1"/>
    <xf numFmtId="0" fontId="7" fillId="0" borderId="0" xfId="0" applyFont="1" applyAlignment="1">
      <alignment vertical="top" wrapText="1"/>
    </xf>
    <xf numFmtId="0" fontId="3" fillId="0" borderId="0" xfId="0" applyFont="1" applyAlignment="1">
      <alignment horizontal="center"/>
    </xf>
    <xf numFmtId="0" fontId="3" fillId="0" borderId="14" xfId="0" applyFont="1" applyBorder="1"/>
    <xf numFmtId="38" fontId="0" fillId="0" borderId="11" xfId="0" applyNumberFormat="1" applyBorder="1"/>
    <xf numFmtId="164" fontId="0" fillId="0" borderId="11" xfId="1" applyNumberFormat="1" applyFont="1" applyBorder="1" applyAlignment="1" applyProtection="1">
      <alignment horizontal="right"/>
    </xf>
    <xf numFmtId="0" fontId="3" fillId="0" borderId="0" xfId="0" applyFont="1" applyAlignment="1">
      <alignment vertical="top"/>
    </xf>
    <xf numFmtId="0" fontId="3" fillId="0" borderId="0" xfId="0" applyFont="1" applyAlignment="1">
      <alignment horizontal="right"/>
    </xf>
    <xf numFmtId="0" fontId="2" fillId="0" borderId="13" xfId="0" applyFont="1" applyBorder="1" applyAlignment="1">
      <alignment horizontal="center"/>
    </xf>
    <xf numFmtId="0" fontId="2" fillId="0" borderId="15" xfId="0" applyFont="1" applyBorder="1" applyAlignment="1">
      <alignment horizontal="center"/>
    </xf>
    <xf numFmtId="0" fontId="2" fillId="0" borderId="14" xfId="0" applyFont="1" applyBorder="1" applyAlignment="1">
      <alignment horizontal="center"/>
    </xf>
    <xf numFmtId="38" fontId="3" fillId="0" borderId="13" xfId="0" applyNumberFormat="1" applyFont="1" applyBorder="1" applyAlignment="1">
      <alignment horizontal="center"/>
    </xf>
    <xf numFmtId="38" fontId="3" fillId="0" borderId="14" xfId="0" applyNumberFormat="1" applyFont="1" applyBorder="1" applyAlignment="1">
      <alignment horizontal="center"/>
    </xf>
    <xf numFmtId="0" fontId="2" fillId="0" borderId="11" xfId="0" applyFont="1" applyBorder="1" applyAlignment="1">
      <alignment horizontal="center"/>
    </xf>
    <xf numFmtId="0" fontId="7" fillId="0" borderId="0" xfId="0" applyFont="1" applyAlignment="1">
      <alignment horizontal="center" vertical="top" wrapText="1"/>
    </xf>
    <xf numFmtId="0" fontId="0" fillId="0" borderId="11" xfId="0" applyBorder="1" applyAlignment="1">
      <alignment horizontal="left"/>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2" fillId="0" borderId="0" xfId="0" applyFont="1" applyAlignment="1">
      <alignment horizontal="center"/>
    </xf>
    <xf numFmtId="0" fontId="5" fillId="2" borderId="0" xfId="2" applyFont="1" applyFill="1" applyAlignment="1" applyProtection="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3" fillId="0" borderId="13" xfId="0" applyFont="1" applyBorder="1" applyAlignment="1">
      <alignment horizontal="center"/>
    </xf>
    <xf numFmtId="0" fontId="3" fillId="0" borderId="14" xfId="0" applyFont="1" applyBorder="1" applyAlignment="1">
      <alignment horizontal="center"/>
    </xf>
    <xf numFmtId="0" fontId="0" fillId="0" borderId="10" xfId="0" applyBorder="1" applyAlignment="1">
      <alignment horizontal="left"/>
    </xf>
    <xf numFmtId="0" fontId="0" fillId="0" borderId="1" xfId="0" applyBorder="1" applyAlignment="1">
      <alignment horizontal="left"/>
    </xf>
  </cellXfs>
  <cellStyles count="3">
    <cellStyle name="Hyperlink" xfId="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ad/Nextcloud/Downloads/budget26%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age 1"/>
      <sheetName val="Page 2"/>
      <sheetName val="Page 3"/>
      <sheetName val="Page 4"/>
      <sheetName val="Budget Summary"/>
      <sheetName val="Project balances"/>
      <sheetName val="Data Entry"/>
      <sheetName val="Calculations"/>
      <sheetName val="BSA55"/>
      <sheetName val="Instructions"/>
    </sheetNames>
    <sheetDataSet>
      <sheetData sheetId="0">
        <row r="1">
          <cell r="D1" t="str">
            <v>Challenger Basic School</v>
          </cell>
          <cell r="P1" t="str">
            <v>078957000</v>
          </cell>
        </row>
        <row r="12">
          <cell r="D12" t="str">
            <v>Revised #1</v>
          </cell>
        </row>
        <row r="15">
          <cell r="O15" t="str">
            <v>Mr. Brad Tobin</v>
          </cell>
        </row>
        <row r="16">
          <cell r="M16">
            <v>6023909602</v>
          </cell>
          <cell r="P16" t="str">
            <v>jbtobin1@cox.net</v>
          </cell>
        </row>
        <row r="21">
          <cell r="F21">
            <v>45835</v>
          </cell>
        </row>
        <row r="32">
          <cell r="R32">
            <v>61062</v>
          </cell>
        </row>
        <row r="33">
          <cell r="R33">
            <v>60061</v>
          </cell>
        </row>
        <row r="34">
          <cell r="R34">
            <v>1001</v>
          </cell>
        </row>
        <row r="35">
          <cell r="R35">
            <v>1.7000000000000001E-2</v>
          </cell>
        </row>
        <row r="36">
          <cell r="L36" t="str">
            <v>Comments on average salary calculation (optional):</v>
          </cell>
        </row>
      </sheetData>
      <sheetData sheetId="1">
        <row r="8">
          <cell r="K8">
            <v>1062199</v>
          </cell>
          <cell r="L8">
            <v>1079473</v>
          </cell>
        </row>
        <row r="10">
          <cell r="K10">
            <v>19173</v>
          </cell>
          <cell r="L10">
            <v>34450</v>
          </cell>
        </row>
        <row r="11">
          <cell r="K11">
            <v>1017</v>
          </cell>
          <cell r="L11">
            <v>2150</v>
          </cell>
        </row>
        <row r="12">
          <cell r="K12">
            <v>17150</v>
          </cell>
          <cell r="L12">
            <v>7750</v>
          </cell>
        </row>
        <row r="13">
          <cell r="K13">
            <v>681329</v>
          </cell>
          <cell r="L13">
            <v>709365</v>
          </cell>
        </row>
        <row r="14">
          <cell r="K14">
            <v>105217</v>
          </cell>
          <cell r="L14">
            <v>110950</v>
          </cell>
        </row>
        <row r="15">
          <cell r="K15">
            <v>180569</v>
          </cell>
          <cell r="L15">
            <v>202825</v>
          </cell>
        </row>
        <row r="16">
          <cell r="K16">
            <v>0</v>
          </cell>
          <cell r="L16">
            <v>0</v>
          </cell>
        </row>
        <row r="17">
          <cell r="K17">
            <v>68909</v>
          </cell>
          <cell r="L17">
            <v>66750</v>
          </cell>
        </row>
        <row r="18">
          <cell r="K18">
            <v>0</v>
          </cell>
          <cell r="L18">
            <v>0</v>
          </cell>
        </row>
        <row r="19">
          <cell r="K19">
            <v>6925</v>
          </cell>
          <cell r="L19">
            <v>5250</v>
          </cell>
        </row>
        <row r="20">
          <cell r="K20">
            <v>0</v>
          </cell>
          <cell r="L20">
            <v>0</v>
          </cell>
        </row>
        <row r="21">
          <cell r="K21">
            <v>0</v>
          </cell>
          <cell r="L21">
            <v>0</v>
          </cell>
        </row>
        <row r="22">
          <cell r="K22">
            <v>0</v>
          </cell>
          <cell r="L22">
            <v>0</v>
          </cell>
        </row>
        <row r="25">
          <cell r="K25">
            <v>27455</v>
          </cell>
          <cell r="L25">
            <v>37438</v>
          </cell>
        </row>
        <row r="27">
          <cell r="K27">
            <v>0</v>
          </cell>
          <cell r="L27">
            <v>500</v>
          </cell>
        </row>
        <row r="28">
          <cell r="K28">
            <v>0</v>
          </cell>
          <cell r="L28">
            <v>0</v>
          </cell>
        </row>
        <row r="29">
          <cell r="K29">
            <v>0</v>
          </cell>
          <cell r="L29">
            <v>0</v>
          </cell>
        </row>
        <row r="30">
          <cell r="K30">
            <v>12641</v>
          </cell>
          <cell r="L30">
            <v>2678</v>
          </cell>
        </row>
        <row r="31">
          <cell r="K31">
            <v>0</v>
          </cell>
          <cell r="L31">
            <v>0</v>
          </cell>
        </row>
        <row r="32">
          <cell r="K32">
            <v>0</v>
          </cell>
          <cell r="L32">
            <v>0</v>
          </cell>
        </row>
        <row r="33">
          <cell r="K33">
            <v>0</v>
          </cell>
          <cell r="L33">
            <v>0</v>
          </cell>
        </row>
        <row r="34">
          <cell r="K34">
            <v>0</v>
          </cell>
          <cell r="L34">
            <v>0</v>
          </cell>
        </row>
        <row r="35">
          <cell r="K35">
            <v>0</v>
          </cell>
          <cell r="L35">
            <v>0</v>
          </cell>
        </row>
        <row r="36">
          <cell r="K36">
            <v>0</v>
          </cell>
          <cell r="L36">
            <v>0</v>
          </cell>
        </row>
        <row r="39">
          <cell r="K39">
            <v>0</v>
          </cell>
          <cell r="L39">
            <v>0</v>
          </cell>
        </row>
        <row r="40">
          <cell r="K40">
            <v>0</v>
          </cell>
          <cell r="L40">
            <v>0</v>
          </cell>
        </row>
        <row r="41">
          <cell r="K41">
            <v>0</v>
          </cell>
          <cell r="L41">
            <v>0</v>
          </cell>
        </row>
        <row r="42">
          <cell r="K42">
            <v>22685</v>
          </cell>
          <cell r="L42">
            <v>27561</v>
          </cell>
        </row>
        <row r="43">
          <cell r="K43">
            <v>2205269</v>
          </cell>
          <cell r="L43">
            <v>2287140</v>
          </cell>
        </row>
        <row r="44">
          <cell r="K44">
            <v>311704</v>
          </cell>
          <cell r="L44">
            <v>269386</v>
          </cell>
        </row>
        <row r="45">
          <cell r="K45">
            <v>20218</v>
          </cell>
          <cell r="L45">
            <v>20218</v>
          </cell>
        </row>
        <row r="46">
          <cell r="K46">
            <v>0</v>
          </cell>
          <cell r="L46">
            <v>0</v>
          </cell>
        </row>
        <row r="47">
          <cell r="K47">
            <v>0</v>
          </cell>
          <cell r="L47">
            <v>0</v>
          </cell>
        </row>
      </sheetData>
      <sheetData sheetId="2">
        <row r="5">
          <cell r="M5">
            <v>40096</v>
          </cell>
          <cell r="N5">
            <v>40616</v>
          </cell>
        </row>
        <row r="6">
          <cell r="M6">
            <v>0</v>
          </cell>
        </row>
        <row r="7">
          <cell r="M7">
            <v>0</v>
          </cell>
        </row>
        <row r="8">
          <cell r="M8">
            <v>0</v>
          </cell>
        </row>
        <row r="9">
          <cell r="M9">
            <v>0</v>
          </cell>
        </row>
        <row r="10">
          <cell r="M10">
            <v>0</v>
          </cell>
        </row>
        <row r="11">
          <cell r="M11">
            <v>0</v>
          </cell>
        </row>
        <row r="22">
          <cell r="D22">
            <v>65413</v>
          </cell>
          <cell r="E22">
            <v>26437</v>
          </cell>
        </row>
        <row r="36">
          <cell r="D36">
            <v>21530</v>
          </cell>
          <cell r="E36">
            <v>0</v>
          </cell>
        </row>
        <row r="46">
          <cell r="D46">
            <v>0</v>
          </cell>
          <cell r="E46">
            <v>0</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workbookViewId="0">
      <selection activeCell="P7" sqref="P7"/>
    </sheetView>
  </sheetViews>
  <sheetFormatPr defaultRowHeight="15" x14ac:dyDescent="0.25"/>
  <cols>
    <col min="1" max="2" width="1.5703125" style="3" customWidth="1"/>
    <col min="3" max="3" width="42" style="3" customWidth="1"/>
    <col min="4" max="5" width="12.5703125" style="3" customWidth="1"/>
    <col min="6" max="6" width="9.5703125" style="3" customWidth="1"/>
    <col min="7" max="7" width="4.5703125" style="3" customWidth="1"/>
    <col min="8" max="8" width="27.42578125" style="3" customWidth="1"/>
    <col min="9" max="9" width="5.42578125" style="3" customWidth="1"/>
    <col min="10" max="10" width="12.5703125" style="3" customWidth="1"/>
    <col min="11" max="11" width="13.5703125" style="3" customWidth="1"/>
    <col min="12" max="12" width="12.5703125" style="3" customWidth="1"/>
    <col min="13" max="13" width="9.5703125" style="3" customWidth="1"/>
    <col min="14" max="16" width="9" style="3" customWidth="1"/>
  </cols>
  <sheetData>
    <row r="1" spans="1:15" x14ac:dyDescent="0.25">
      <c r="A1" s="67" t="str">
        <f>IF(OR(BudgetVersion="Proposed",BudgetVersion=""),"FY 2026 Summary of charter school proposed budget",IF(BudgetVersion="Adopted","FY 2026 Summary of charter school adopted budget","FY 2026 Summary of charter school revised budget"))</f>
        <v>FY 2026 Summary of charter school revised budget</v>
      </c>
      <c r="B1" s="67"/>
      <c r="C1" s="67"/>
      <c r="D1" s="67"/>
      <c r="E1" s="67"/>
      <c r="F1" s="67"/>
      <c r="G1" s="67"/>
      <c r="H1" s="67"/>
      <c r="I1" s="67"/>
      <c r="J1" s="67"/>
      <c r="K1" s="1" t="s">
        <v>0</v>
      </c>
      <c r="L1" s="2" t="str">
        <f>CTD</f>
        <v>078957000</v>
      </c>
      <c r="N1" s="68" t="s">
        <v>1</v>
      </c>
      <c r="O1" s="68"/>
    </row>
    <row r="3" spans="1:15" x14ac:dyDescent="0.25">
      <c r="A3" s="4" t="s">
        <v>2</v>
      </c>
      <c r="B3" s="5"/>
      <c r="C3" s="5"/>
      <c r="D3" s="69" t="s">
        <v>3</v>
      </c>
      <c r="E3" s="70"/>
      <c r="F3" s="6" t="s">
        <v>4</v>
      </c>
      <c r="H3" s="71" t="str">
        <f>CONCATENATE("The budget of ",IF([1]Cover!$D$3=0,[1]Cover!$D$1,(CONCATENATE([1]Cover!$D$1," (d.b.a. ",[1]Cover!$D$3,")")))," for fiscal year 2026 was officially proposed by the Governing Board on ",TEXT([1]Cover!$F$21,"mmmm dd, yyyy"),". The complete budget may be reviewed by contacting ",[1]Cover!$O$15," at ",[1]Cover!$M$16," or ",[1]Cover!$P$16,".")</f>
        <v>The budget of Challenger Basic School for fiscal year 2026 was officially proposed by the Governing Board on June 27, 2025. The complete budget may be reviewed by contacting Mr. Brad Tobin at 6023909602 or jbtobin1@cox.net.</v>
      </c>
      <c r="I3" s="72"/>
      <c r="J3" s="72"/>
      <c r="K3" s="72"/>
      <c r="L3" s="72"/>
      <c r="M3" s="73"/>
    </row>
    <row r="4" spans="1:15" x14ac:dyDescent="0.25">
      <c r="A4" s="7"/>
      <c r="D4" s="8" t="s">
        <v>5</v>
      </c>
      <c r="E4" s="8" t="s">
        <v>6</v>
      </c>
      <c r="F4" s="9" t="s">
        <v>7</v>
      </c>
      <c r="H4" s="74"/>
      <c r="I4" s="75"/>
      <c r="J4" s="75"/>
      <c r="K4" s="75"/>
      <c r="L4" s="75"/>
      <c r="M4" s="76"/>
    </row>
    <row r="5" spans="1:15" x14ac:dyDescent="0.25">
      <c r="A5" s="7" t="s">
        <v>8</v>
      </c>
      <c r="D5" s="10">
        <v>2025</v>
      </c>
      <c r="E5" s="10">
        <v>2026</v>
      </c>
      <c r="F5" s="11" t="s">
        <v>9</v>
      </c>
      <c r="H5" s="74"/>
      <c r="I5" s="75"/>
      <c r="J5" s="75"/>
      <c r="K5" s="75"/>
      <c r="L5" s="75"/>
      <c r="M5" s="76"/>
    </row>
    <row r="6" spans="1:15" x14ac:dyDescent="0.25">
      <c r="A6" s="7"/>
      <c r="B6" s="3" t="s">
        <v>10</v>
      </c>
      <c r="D6" s="12">
        <f>SP1000P100F1000CY</f>
        <v>1062199</v>
      </c>
      <c r="E6" s="12">
        <f>SP1000P100F1000</f>
        <v>1079473</v>
      </c>
      <c r="F6" s="13">
        <f>IF(D6=0," ",(E6-D6)/D6)</f>
        <v>1.6262489420532312E-2</v>
      </c>
      <c r="H6" s="74"/>
      <c r="I6" s="75"/>
      <c r="J6" s="75"/>
      <c r="K6" s="75"/>
      <c r="L6" s="75"/>
      <c r="M6" s="76"/>
    </row>
    <row r="7" spans="1:15" x14ac:dyDescent="0.25">
      <c r="A7" s="7"/>
      <c r="B7" s="3" t="s">
        <v>11</v>
      </c>
      <c r="D7" s="14"/>
      <c r="E7" s="15"/>
      <c r="F7" s="14"/>
      <c r="H7" s="77"/>
      <c r="I7" s="78"/>
      <c r="J7" s="78"/>
      <c r="K7" s="78"/>
      <c r="L7" s="78"/>
      <c r="M7" s="79"/>
    </row>
    <row r="8" spans="1:15" x14ac:dyDescent="0.25">
      <c r="A8" s="7"/>
      <c r="C8" s="3" t="s">
        <v>12</v>
      </c>
      <c r="D8" s="12">
        <f>SP1000P100F2100CY</f>
        <v>19173</v>
      </c>
      <c r="E8" s="16">
        <f>SP1000P100F2100</f>
        <v>34450</v>
      </c>
      <c r="F8" s="17">
        <f>IF(D8=0," ",(E8-D8)/D8)</f>
        <v>0.79679757993011002</v>
      </c>
      <c r="H8" s="18"/>
      <c r="I8" s="18"/>
      <c r="J8" s="18"/>
      <c r="K8" s="18"/>
    </row>
    <row r="9" spans="1:15" x14ac:dyDescent="0.25">
      <c r="A9" s="7"/>
      <c r="C9" s="3" t="s">
        <v>13</v>
      </c>
      <c r="D9" s="19">
        <f>SP1000P100F2200CY</f>
        <v>1017</v>
      </c>
      <c r="E9" s="19">
        <f>SP1000P100F2200</f>
        <v>2150</v>
      </c>
      <c r="F9" s="20">
        <f>IF(D9=0," ",(E9-D9)/D9)</f>
        <v>1.1140609636184857</v>
      </c>
      <c r="H9" s="15"/>
      <c r="I9" s="5"/>
      <c r="J9" s="21"/>
      <c r="K9" s="80" t="s">
        <v>3</v>
      </c>
      <c r="L9" s="81"/>
      <c r="M9" s="6" t="s">
        <v>4</v>
      </c>
    </row>
    <row r="10" spans="1:15" x14ac:dyDescent="0.25">
      <c r="A10" s="7"/>
      <c r="C10" s="3" t="s">
        <v>14</v>
      </c>
      <c r="D10" s="19">
        <f>SP1000P100F2300CY</f>
        <v>17150</v>
      </c>
      <c r="E10" s="19">
        <f>SP1000P100F2300</f>
        <v>7750</v>
      </c>
      <c r="F10" s="13">
        <f t="shared" ref="F10:F21" si="0">IF(D10=0," ",(E10-D10)/D10)</f>
        <v>-0.54810495626822153</v>
      </c>
      <c r="H10" s="22" t="s">
        <v>15</v>
      </c>
      <c r="I10" s="23"/>
      <c r="J10" s="24"/>
      <c r="K10" s="8" t="s">
        <v>5</v>
      </c>
      <c r="L10" s="8" t="s">
        <v>6</v>
      </c>
      <c r="M10" s="9" t="s">
        <v>7</v>
      </c>
    </row>
    <row r="11" spans="1:15" x14ac:dyDescent="0.25">
      <c r="A11" s="7"/>
      <c r="C11" s="3" t="s">
        <v>16</v>
      </c>
      <c r="D11" s="19">
        <f>SP1000P100F2400CY</f>
        <v>681329</v>
      </c>
      <c r="E11" s="19">
        <f>SP1000P100F2400</f>
        <v>709365</v>
      </c>
      <c r="F11" s="13">
        <f t="shared" si="0"/>
        <v>4.1148989695139943E-2</v>
      </c>
      <c r="H11" s="25"/>
      <c r="I11" s="26"/>
      <c r="J11" s="27"/>
      <c r="K11" s="10">
        <v>2025</v>
      </c>
      <c r="L11" s="10">
        <v>2026</v>
      </c>
      <c r="M11" s="11" t="s">
        <v>9</v>
      </c>
    </row>
    <row r="12" spans="1:15" x14ac:dyDescent="0.25">
      <c r="A12" s="7"/>
      <c r="C12" s="3" t="s">
        <v>17</v>
      </c>
      <c r="D12" s="19">
        <f>SP1000P100F2500CY</f>
        <v>105217</v>
      </c>
      <c r="E12" s="19">
        <f>SP1000P100F2500</f>
        <v>110950</v>
      </c>
      <c r="F12" s="13">
        <f t="shared" si="0"/>
        <v>5.4487392721708466E-2</v>
      </c>
      <c r="H12" s="28" t="s">
        <v>18</v>
      </c>
      <c r="I12" s="1"/>
      <c r="J12" s="29"/>
      <c r="K12" s="12">
        <f>'[1]Page 2'!M5</f>
        <v>40096</v>
      </c>
      <c r="L12" s="12">
        <f>'[1]Page 2'!N5</f>
        <v>40616</v>
      </c>
      <c r="M12" s="13">
        <f t="shared" ref="M12:M19" si="1">IF(K12=0," ",(L12-K12)/K12)</f>
        <v>1.2968874700718277E-2</v>
      </c>
    </row>
    <row r="13" spans="1:15" x14ac:dyDescent="0.25">
      <c r="A13" s="7"/>
      <c r="C13" s="3" t="s">
        <v>19</v>
      </c>
      <c r="D13" s="19">
        <f>SP1000P100F2600CY</f>
        <v>180569</v>
      </c>
      <c r="E13" s="19">
        <f>SP1000P100F2600</f>
        <v>202825</v>
      </c>
      <c r="F13" s="13">
        <f t="shared" si="0"/>
        <v>0.12325482225631199</v>
      </c>
      <c r="H13" s="28" t="s">
        <v>20</v>
      </c>
      <c r="I13" s="1"/>
      <c r="J13" s="29"/>
      <c r="K13" s="12">
        <f>P200GiftedEducationCY</f>
        <v>0</v>
      </c>
      <c r="L13" s="19">
        <f>P200GiftedEducation</f>
        <v>0</v>
      </c>
      <c r="M13" s="13" t="str">
        <f t="shared" si="1"/>
        <v xml:space="preserve"> </v>
      </c>
    </row>
    <row r="14" spans="1:15" x14ac:dyDescent="0.25">
      <c r="A14" s="7"/>
      <c r="C14" s="3" t="s">
        <v>21</v>
      </c>
      <c r="D14" s="19">
        <f>SP1000P100F2900CY</f>
        <v>0</v>
      </c>
      <c r="E14" s="19">
        <f>SP1000P100F2900</f>
        <v>0</v>
      </c>
      <c r="F14" s="13" t="str">
        <f t="shared" si="0"/>
        <v xml:space="preserve"> </v>
      </c>
      <c r="H14" s="28" t="s">
        <v>22</v>
      </c>
      <c r="I14" s="1"/>
      <c r="J14" s="29"/>
      <c r="K14" s="12">
        <f>P200ELLIncrementalCostsCY</f>
        <v>0</v>
      </c>
      <c r="L14" s="19">
        <f>P200ELLIncrementalCosts</f>
        <v>0</v>
      </c>
      <c r="M14" s="13" t="str">
        <f t="shared" si="1"/>
        <v xml:space="preserve"> </v>
      </c>
    </row>
    <row r="15" spans="1:15" x14ac:dyDescent="0.25">
      <c r="A15" s="7"/>
      <c r="B15" s="3" t="s">
        <v>23</v>
      </c>
      <c r="D15" s="19">
        <f>SP1000P100F3000CY</f>
        <v>68909</v>
      </c>
      <c r="E15" s="19">
        <f>SP1000P100F3000</f>
        <v>66750</v>
      </c>
      <c r="F15" s="13">
        <f t="shared" si="0"/>
        <v>-3.1331175898648943E-2</v>
      </c>
      <c r="H15" s="28" t="s">
        <v>24</v>
      </c>
      <c r="I15" s="1"/>
      <c r="J15" s="29"/>
      <c r="K15" s="19">
        <f>P200ELLCompensatoryInstructionCY</f>
        <v>0</v>
      </c>
      <c r="L15" s="19">
        <f>P200ELLCompensatoryInstruction</f>
        <v>0</v>
      </c>
      <c r="M15" s="13" t="str">
        <f t="shared" si="1"/>
        <v xml:space="preserve"> </v>
      </c>
    </row>
    <row r="16" spans="1:15" x14ac:dyDescent="0.25">
      <c r="A16" s="7"/>
      <c r="B16" s="3" t="s">
        <v>25</v>
      </c>
      <c r="D16" s="19">
        <f>SP1000P100F4000CY</f>
        <v>0</v>
      </c>
      <c r="E16" s="19">
        <f>SP1000P100F4000</f>
        <v>0</v>
      </c>
      <c r="F16" s="13" t="str">
        <f t="shared" si="0"/>
        <v xml:space="preserve"> </v>
      </c>
      <c r="H16" s="28" t="s">
        <v>26</v>
      </c>
      <c r="I16" s="1"/>
      <c r="J16" s="29"/>
      <c r="K16" s="19">
        <f>P200RemedialEducationCY</f>
        <v>0</v>
      </c>
      <c r="L16" s="19">
        <f>P200RemedialEducation</f>
        <v>0</v>
      </c>
      <c r="M16" s="13" t="str">
        <f t="shared" si="1"/>
        <v xml:space="preserve"> </v>
      </c>
    </row>
    <row r="17" spans="1:13" x14ac:dyDescent="0.25">
      <c r="A17" s="7"/>
      <c r="B17" s="3" t="s">
        <v>27</v>
      </c>
      <c r="D17" s="19">
        <f>SP1000P100F5000CY</f>
        <v>6925</v>
      </c>
      <c r="E17" s="19">
        <f>SP1000P100F5000</f>
        <v>5250</v>
      </c>
      <c r="F17" s="13">
        <f t="shared" si="0"/>
        <v>-0.24187725631768953</v>
      </c>
      <c r="H17" s="28" t="s">
        <v>28</v>
      </c>
      <c r="I17" s="1"/>
      <c r="J17" s="29"/>
      <c r="K17" s="19">
        <f>P200VocationalandTechnologicalEdCY</f>
        <v>0</v>
      </c>
      <c r="L17" s="19">
        <f>P200VocationalandTechnologicalEd</f>
        <v>0</v>
      </c>
      <c r="M17" s="13" t="str">
        <f t="shared" si="1"/>
        <v xml:space="preserve"> </v>
      </c>
    </row>
    <row r="18" spans="1:13" x14ac:dyDescent="0.25">
      <c r="A18" s="7" t="s">
        <v>29</v>
      </c>
      <c r="D18" s="19">
        <f>SP1000P610CY</f>
        <v>0</v>
      </c>
      <c r="E18" s="19">
        <f>SP1000P610</f>
        <v>0</v>
      </c>
      <c r="F18" s="13" t="str">
        <f t="shared" si="0"/>
        <v xml:space="preserve"> </v>
      </c>
      <c r="H18" s="28" t="s">
        <v>30</v>
      </c>
      <c r="I18" s="1"/>
      <c r="J18" s="29"/>
      <c r="K18" s="30">
        <f>P200CareerEducationCY</f>
        <v>0</v>
      </c>
      <c r="L18" s="30">
        <f>P200CareerEducation</f>
        <v>0</v>
      </c>
      <c r="M18" s="13" t="str">
        <f t="shared" si="1"/>
        <v xml:space="preserve"> </v>
      </c>
    </row>
    <row r="19" spans="1:13" x14ac:dyDescent="0.25">
      <c r="A19" s="7" t="s">
        <v>31</v>
      </c>
      <c r="D19" s="19">
        <f>SP1000P620CY</f>
        <v>0</v>
      </c>
      <c r="E19" s="19">
        <f>SP1000P620</f>
        <v>0</v>
      </c>
      <c r="F19" s="13" t="str">
        <f t="shared" si="0"/>
        <v xml:space="preserve"> </v>
      </c>
      <c r="H19" s="82" t="s">
        <v>32</v>
      </c>
      <c r="I19" s="83"/>
      <c r="J19" s="83"/>
      <c r="K19" s="19">
        <f>SUM(K12:K18)</f>
        <v>40096</v>
      </c>
      <c r="L19" s="19">
        <f>SUM(L12:L18)</f>
        <v>40616</v>
      </c>
      <c r="M19" s="31">
        <f t="shared" si="1"/>
        <v>1.2968874700718277E-2</v>
      </c>
    </row>
    <row r="20" spans="1:13" x14ac:dyDescent="0.25">
      <c r="A20" s="7" t="s">
        <v>33</v>
      </c>
      <c r="D20" s="19">
        <f>SP1000P630700800900CY</f>
        <v>0</v>
      </c>
      <c r="E20" s="19">
        <f>SP1000P630700800900</f>
        <v>0</v>
      </c>
      <c r="F20" s="13" t="str">
        <f t="shared" si="0"/>
        <v xml:space="preserve"> </v>
      </c>
      <c r="H20" s="32"/>
      <c r="I20" s="32"/>
      <c r="K20" s="33"/>
      <c r="L20" s="33"/>
      <c r="M20" s="34"/>
    </row>
    <row r="21" spans="1:13" x14ac:dyDescent="0.25">
      <c r="A21" s="35"/>
      <c r="B21" s="36" t="s">
        <v>34</v>
      </c>
      <c r="C21" s="27"/>
      <c r="D21" s="19">
        <f>SUM(D6:D20)</f>
        <v>2142488</v>
      </c>
      <c r="E21" s="19">
        <f>SUM(E6:E20)</f>
        <v>2218963</v>
      </c>
      <c r="F21" s="13">
        <f t="shared" si="0"/>
        <v>3.5694482302818034E-2</v>
      </c>
      <c r="H21" s="50" t="s">
        <v>35</v>
      </c>
      <c r="I21" s="51"/>
      <c r="J21" s="51"/>
      <c r="K21" s="51"/>
      <c r="L21" s="52"/>
      <c r="M21" s="34"/>
    </row>
    <row r="22" spans="1:13" x14ac:dyDescent="0.25">
      <c r="A22" s="7" t="s">
        <v>36</v>
      </c>
      <c r="D22" s="14"/>
      <c r="E22" s="15"/>
      <c r="F22" s="14"/>
      <c r="H22" s="7"/>
      <c r="J22" s="53" t="s">
        <v>3</v>
      </c>
      <c r="K22" s="54"/>
      <c r="L22" s="9" t="s">
        <v>4</v>
      </c>
      <c r="M22" s="34"/>
    </row>
    <row r="23" spans="1:13" x14ac:dyDescent="0.25">
      <c r="A23" s="7"/>
      <c r="B23" s="3" t="s">
        <v>10</v>
      </c>
      <c r="D23" s="37">
        <f>SP1000P200F1000CY</f>
        <v>27455</v>
      </c>
      <c r="E23" s="38">
        <f>SP1000P200F1000</f>
        <v>37438</v>
      </c>
      <c r="F23" s="17">
        <f>IF(D23=0," ",(E23-D23)/D23)</f>
        <v>0.36361318521216535</v>
      </c>
      <c r="H23" s="7"/>
      <c r="J23" s="8" t="s">
        <v>5</v>
      </c>
      <c r="K23" s="8" t="s">
        <v>6</v>
      </c>
      <c r="L23" s="9" t="s">
        <v>7</v>
      </c>
      <c r="M23" s="34"/>
    </row>
    <row r="24" spans="1:13" x14ac:dyDescent="0.25">
      <c r="A24" s="7"/>
      <c r="B24" s="3" t="s">
        <v>11</v>
      </c>
      <c r="D24" s="14"/>
      <c r="E24" s="14"/>
      <c r="F24" s="20"/>
      <c r="H24" s="39"/>
      <c r="J24" s="10">
        <v>2025</v>
      </c>
      <c r="K24" s="10">
        <v>2026</v>
      </c>
      <c r="L24" s="11" t="s">
        <v>9</v>
      </c>
      <c r="M24" s="34"/>
    </row>
    <row r="25" spans="1:13" x14ac:dyDescent="0.25">
      <c r="A25" s="7"/>
      <c r="C25" s="3" t="s">
        <v>12</v>
      </c>
      <c r="D25" s="12">
        <f>SP1000P200F2100CY</f>
        <v>0</v>
      </c>
      <c r="E25" s="12">
        <f>SP1000P200F2100</f>
        <v>500</v>
      </c>
      <c r="F25" s="17" t="str">
        <f t="shared" ref="F25:F41" si="2">IF(D25=0," ",(E25-D25)/D25)</f>
        <v xml:space="preserve"> </v>
      </c>
      <c r="H25" s="40" t="s">
        <v>37</v>
      </c>
      <c r="I25" s="41"/>
      <c r="J25" s="12">
        <f>SP1000TotalCY</f>
        <v>2205269</v>
      </c>
      <c r="K25" s="12">
        <f>SP1000Total</f>
        <v>2287140</v>
      </c>
      <c r="L25" s="31">
        <f>IF(J25=0," ",(K25-J25)/J25)</f>
        <v>3.7125176112301948E-2</v>
      </c>
      <c r="M25" s="34"/>
    </row>
    <row r="26" spans="1:13" x14ac:dyDescent="0.25">
      <c r="A26" s="7"/>
      <c r="C26" s="3" t="s">
        <v>13</v>
      </c>
      <c r="D26" s="12">
        <f>SP1000P200F2200CY</f>
        <v>0</v>
      </c>
      <c r="E26" s="12">
        <f>SP1000P200F2200</f>
        <v>0</v>
      </c>
      <c r="F26" s="20" t="str">
        <f t="shared" si="2"/>
        <v xml:space="preserve"> </v>
      </c>
      <c r="H26" s="42" t="s">
        <v>38</v>
      </c>
      <c r="I26" s="41"/>
      <c r="J26" s="19">
        <f>SP1000ClassSiteProjCY</f>
        <v>311704</v>
      </c>
      <c r="K26" s="19">
        <f>SP1000ClassSiteProj</f>
        <v>269386</v>
      </c>
      <c r="L26" s="31">
        <f t="shared" ref="L26:L33" si="3">IF(J26=0," ",(K26-J26)/J26)</f>
        <v>-0.13576341657469906</v>
      </c>
      <c r="M26" s="34"/>
    </row>
    <row r="27" spans="1:13" x14ac:dyDescent="0.25">
      <c r="A27" s="7"/>
      <c r="C27" s="3" t="s">
        <v>14</v>
      </c>
      <c r="D27" s="12">
        <f>SP1000P200F2300CY</f>
        <v>0</v>
      </c>
      <c r="E27" s="12">
        <f>SP1000P200F2300</f>
        <v>0</v>
      </c>
      <c r="F27" s="13" t="str">
        <f t="shared" si="2"/>
        <v xml:space="preserve"> </v>
      </c>
      <c r="H27" s="42" t="s">
        <v>39</v>
      </c>
      <c r="I27" s="41"/>
      <c r="J27" s="19">
        <f>SP1000InstrImpProjCY</f>
        <v>20218</v>
      </c>
      <c r="K27" s="19">
        <f>SP1000InstrImpProj</f>
        <v>20218</v>
      </c>
      <c r="L27" s="31">
        <f t="shared" si="3"/>
        <v>0</v>
      </c>
      <c r="M27" s="34"/>
    </row>
    <row r="28" spans="1:13" x14ac:dyDescent="0.25">
      <c r="A28" s="7"/>
      <c r="C28" s="3" t="s">
        <v>16</v>
      </c>
      <c r="D28" s="12">
        <f>SP1000P200F2400CY</f>
        <v>12641</v>
      </c>
      <c r="E28" s="12">
        <f>SP1000P200F2400</f>
        <v>2678</v>
      </c>
      <c r="F28" s="13">
        <f t="shared" si="2"/>
        <v>-0.78814967170318806</v>
      </c>
      <c r="H28" s="42" t="s">
        <v>40</v>
      </c>
      <c r="I28" s="41"/>
      <c r="J28" s="19">
        <f>SP1000StruEngImmProjCY</f>
        <v>0</v>
      </c>
      <c r="K28" s="19">
        <f>SP1000StruEngImmProj</f>
        <v>0</v>
      </c>
      <c r="L28" s="31" t="str">
        <f t="shared" si="3"/>
        <v xml:space="preserve"> </v>
      </c>
      <c r="M28" s="34"/>
    </row>
    <row r="29" spans="1:13" x14ac:dyDescent="0.25">
      <c r="A29" s="7"/>
      <c r="C29" s="3" t="s">
        <v>17</v>
      </c>
      <c r="D29" s="12">
        <f>SP1000P200F2500CY</f>
        <v>0</v>
      </c>
      <c r="E29" s="12">
        <f>SP1000P200F2500</f>
        <v>0</v>
      </c>
      <c r="F29" s="13" t="str">
        <f t="shared" si="2"/>
        <v xml:space="preserve"> </v>
      </c>
      <c r="H29" s="42" t="s">
        <v>41</v>
      </c>
      <c r="I29" s="41"/>
      <c r="J29" s="19">
        <f>SP1000CompInstrProjCY</f>
        <v>0</v>
      </c>
      <c r="K29" s="19">
        <f>SP1000CompInstrProj</f>
        <v>0</v>
      </c>
      <c r="L29" s="31" t="str">
        <f t="shared" si="3"/>
        <v xml:space="preserve"> </v>
      </c>
      <c r="M29" s="34"/>
    </row>
    <row r="30" spans="1:13" x14ac:dyDescent="0.25">
      <c r="A30" s="7"/>
      <c r="C30" s="3" t="s">
        <v>19</v>
      </c>
      <c r="D30" s="12">
        <f>SP1000P200F2600CY</f>
        <v>0</v>
      </c>
      <c r="E30" s="12">
        <f>SP1000P200F2600</f>
        <v>0</v>
      </c>
      <c r="F30" s="13" t="str">
        <f t="shared" si="2"/>
        <v xml:space="preserve"> </v>
      </c>
      <c r="H30" s="42" t="s">
        <v>42</v>
      </c>
      <c r="I30" s="41"/>
      <c r="J30" s="19">
        <f>TotalFederalProjectsCY</f>
        <v>65413</v>
      </c>
      <c r="K30" s="19">
        <f>TotalFederalProjects</f>
        <v>26437</v>
      </c>
      <c r="L30" s="31">
        <f t="shared" si="3"/>
        <v>-0.59584486264198244</v>
      </c>
      <c r="M30" s="34"/>
    </row>
    <row r="31" spans="1:13" x14ac:dyDescent="0.25">
      <c r="A31" s="7"/>
      <c r="C31" s="3" t="s">
        <v>21</v>
      </c>
      <c r="D31" s="12">
        <f>SP1000P200F2900CY</f>
        <v>0</v>
      </c>
      <c r="E31" s="12">
        <f>SP1000P200F2900</f>
        <v>0</v>
      </c>
      <c r="F31" s="13" t="str">
        <f t="shared" si="2"/>
        <v xml:space="preserve"> </v>
      </c>
      <c r="H31" s="42" t="s">
        <v>43</v>
      </c>
      <c r="I31" s="41"/>
      <c r="J31" s="19">
        <f>TotalStateProjectsCY</f>
        <v>21530</v>
      </c>
      <c r="K31" s="19">
        <f>TotalStateProjects</f>
        <v>0</v>
      </c>
      <c r="L31" s="31">
        <f t="shared" si="3"/>
        <v>-1</v>
      </c>
      <c r="M31" s="34"/>
    </row>
    <row r="32" spans="1:13" x14ac:dyDescent="0.25">
      <c r="A32" s="7"/>
      <c r="B32" s="3" t="s">
        <v>23</v>
      </c>
      <c r="D32" s="12">
        <f>SP1000P200F3000CY</f>
        <v>0</v>
      </c>
      <c r="E32" s="12">
        <f>SP1000P200F3000</f>
        <v>0</v>
      </c>
      <c r="F32" s="13" t="str">
        <f t="shared" si="2"/>
        <v xml:space="preserve"> </v>
      </c>
      <c r="H32" s="42" t="s">
        <v>44</v>
      </c>
      <c r="I32" s="41"/>
      <c r="J32" s="19">
        <f>TotalCapitalAcquisitionsCY</f>
        <v>0</v>
      </c>
      <c r="K32" s="19">
        <f>TotalCapitalAcquisitions</f>
        <v>0</v>
      </c>
      <c r="L32" s="31" t="str">
        <f t="shared" si="3"/>
        <v xml:space="preserve"> </v>
      </c>
      <c r="M32" s="34"/>
    </row>
    <row r="33" spans="1:14" x14ac:dyDescent="0.25">
      <c r="A33" s="7"/>
      <c r="B33" s="3" t="s">
        <v>25</v>
      </c>
      <c r="D33" s="12">
        <f>SP1000P200F4000CY</f>
        <v>0</v>
      </c>
      <c r="E33" s="12">
        <f>SP1000P200F4000</f>
        <v>0</v>
      </c>
      <c r="F33" s="13" t="str">
        <f t="shared" si="2"/>
        <v xml:space="preserve"> </v>
      </c>
      <c r="H33" s="42" t="s">
        <v>45</v>
      </c>
      <c r="I33" s="41"/>
      <c r="J33" s="19">
        <f>SUM(J25:J32)</f>
        <v>2624134</v>
      </c>
      <c r="K33" s="19">
        <f>SUM(K25:K32)</f>
        <v>2603181</v>
      </c>
      <c r="L33" s="31">
        <f t="shared" si="3"/>
        <v>-7.9847294383594732E-3</v>
      </c>
    </row>
    <row r="34" spans="1:14" x14ac:dyDescent="0.25">
      <c r="A34" s="7"/>
      <c r="B34" s="3" t="s">
        <v>27</v>
      </c>
      <c r="D34" s="12">
        <f>SP1000P200F5000CY</f>
        <v>0</v>
      </c>
      <c r="E34" s="12">
        <f>SP1000P200F5000</f>
        <v>0</v>
      </c>
      <c r="F34" s="13" t="str">
        <f t="shared" si="2"/>
        <v xml:space="preserve"> </v>
      </c>
    </row>
    <row r="35" spans="1:14" x14ac:dyDescent="0.25">
      <c r="A35" s="7"/>
      <c r="B35" s="3" t="s">
        <v>46</v>
      </c>
      <c r="C35" s="24"/>
      <c r="D35" s="30">
        <f>SUM(D23:D34)</f>
        <v>40096</v>
      </c>
      <c r="E35" s="30">
        <f>SUM(E23:E34)</f>
        <v>40616</v>
      </c>
      <c r="F35" s="13">
        <f t="shared" si="2"/>
        <v>1.2968874700718277E-2</v>
      </c>
      <c r="H35" s="55" t="s">
        <v>47</v>
      </c>
      <c r="I35" s="55"/>
      <c r="J35" s="55"/>
      <c r="K35" s="55"/>
      <c r="L35" s="55"/>
      <c r="M35" s="56" t="str">
        <f>IF(L37&lt;1,"Enter average salary on the budget Cover","")</f>
        <v/>
      </c>
      <c r="N35" s="43"/>
    </row>
    <row r="36" spans="1:14" x14ac:dyDescent="0.25">
      <c r="A36" s="35" t="s">
        <v>48</v>
      </c>
      <c r="B36" s="36"/>
      <c r="C36" s="27"/>
      <c r="D36" s="12"/>
      <c r="E36" s="12"/>
      <c r="F36" s="17"/>
      <c r="J36" s="44"/>
      <c r="K36" s="44"/>
      <c r="L36" s="44"/>
      <c r="M36" s="56"/>
      <c r="N36" s="43"/>
    </row>
    <row r="37" spans="1:14" x14ac:dyDescent="0.25">
      <c r="A37" s="40" t="s">
        <v>49</v>
      </c>
      <c r="B37" s="41"/>
      <c r="C37" s="45"/>
      <c r="D37" s="19">
        <f>SP1000P400CY</f>
        <v>0</v>
      </c>
      <c r="E37" s="19">
        <f>SP1000P400</f>
        <v>0</v>
      </c>
      <c r="F37" s="31" t="str">
        <f t="shared" si="2"/>
        <v xml:space="preserve"> </v>
      </c>
      <c r="H37" s="57" t="s">
        <v>50</v>
      </c>
      <c r="I37" s="57"/>
      <c r="J37" s="57"/>
      <c r="K37" s="57"/>
      <c r="L37" s="46">
        <f>BudgetYearSalary</f>
        <v>61062</v>
      </c>
      <c r="M37" s="56"/>
      <c r="N37" s="43"/>
    </row>
    <row r="38" spans="1:14" x14ac:dyDescent="0.25">
      <c r="A38" s="40" t="s">
        <v>51</v>
      </c>
      <c r="B38" s="41"/>
      <c r="C38" s="45"/>
      <c r="D38" s="19">
        <f>SP1000P530CY</f>
        <v>0</v>
      </c>
      <c r="E38" s="19">
        <f>SP1000P530</f>
        <v>0</v>
      </c>
      <c r="F38" s="31" t="str">
        <f t="shared" si="2"/>
        <v xml:space="preserve"> </v>
      </c>
      <c r="H38" s="57" t="s">
        <v>52</v>
      </c>
      <c r="I38" s="57"/>
      <c r="J38" s="57"/>
      <c r="K38" s="57"/>
      <c r="L38" s="46">
        <f>PriorYearSalary</f>
        <v>60061</v>
      </c>
      <c r="M38" s="56"/>
      <c r="N38" s="43"/>
    </row>
    <row r="39" spans="1:14" x14ac:dyDescent="0.25">
      <c r="A39" s="40" t="s">
        <v>53</v>
      </c>
      <c r="B39" s="41"/>
      <c r="C39" s="45"/>
      <c r="D39" s="19">
        <f>SP1000P540CY</f>
        <v>0</v>
      </c>
      <c r="E39" s="19">
        <f>SP1000P540</f>
        <v>0</v>
      </c>
      <c r="F39" s="31" t="str">
        <f t="shared" si="2"/>
        <v xml:space="preserve"> </v>
      </c>
      <c r="H39" s="57" t="s">
        <v>54</v>
      </c>
      <c r="I39" s="57"/>
      <c r="J39" s="57"/>
      <c r="K39" s="57"/>
      <c r="L39" s="46">
        <f>SalaryIncreaseFromPriorYear</f>
        <v>1001</v>
      </c>
      <c r="M39" s="56"/>
      <c r="N39" s="43"/>
    </row>
    <row r="40" spans="1:14" x14ac:dyDescent="0.25">
      <c r="A40" s="35" t="s">
        <v>55</v>
      </c>
      <c r="B40" s="36"/>
      <c r="C40" s="27"/>
      <c r="D40" s="19">
        <f>SP1000P550CY</f>
        <v>22685</v>
      </c>
      <c r="E40" s="19">
        <f>SP1000P550</f>
        <v>27561</v>
      </c>
      <c r="F40" s="31">
        <f t="shared" si="2"/>
        <v>0.21494379545955478</v>
      </c>
      <c r="H40" s="57" t="s">
        <v>56</v>
      </c>
      <c r="I40" s="57"/>
      <c r="J40" s="57"/>
      <c r="K40" s="57"/>
      <c r="L40" s="47">
        <f>SalaryPercentageIncrease</f>
        <v>1.7000000000000001E-2</v>
      </c>
      <c r="M40" s="56"/>
      <c r="N40" s="43"/>
    </row>
    <row r="41" spans="1:14" x14ac:dyDescent="0.25">
      <c r="A41" s="35"/>
      <c r="B41" s="36"/>
      <c r="C41" s="27" t="s">
        <v>32</v>
      </c>
      <c r="D41" s="12">
        <f>SUM(D35:D40)+D21</f>
        <v>2205269</v>
      </c>
      <c r="E41" s="12">
        <f>SUM(E35:E40)+E21</f>
        <v>2287140</v>
      </c>
      <c r="F41" s="31">
        <f t="shared" si="2"/>
        <v>3.7125176112301948E-2</v>
      </c>
      <c r="H41" s="58" t="str">
        <f>IF(AverageSalaryCalculationComment&lt;&gt;"",AverageSalaryCalculationComment,"")</f>
        <v>Comments on average salary calculation (optional):</v>
      </c>
      <c r="I41" s="59"/>
      <c r="J41" s="59"/>
      <c r="K41" s="59"/>
      <c r="L41" s="60"/>
      <c r="M41" s="56"/>
    </row>
    <row r="42" spans="1:14" x14ac:dyDescent="0.25">
      <c r="D42" s="33"/>
      <c r="E42" s="33"/>
      <c r="F42" s="34"/>
      <c r="H42" s="61"/>
      <c r="I42" s="62"/>
      <c r="J42" s="62"/>
      <c r="K42" s="62"/>
      <c r="L42" s="63"/>
      <c r="M42" s="56"/>
    </row>
    <row r="43" spans="1:14" x14ac:dyDescent="0.25">
      <c r="H43" s="61"/>
      <c r="I43" s="62"/>
      <c r="J43" s="62"/>
      <c r="K43" s="62"/>
      <c r="L43" s="63"/>
      <c r="M43" s="56"/>
    </row>
    <row r="44" spans="1:14" x14ac:dyDescent="0.25">
      <c r="H44" s="61"/>
      <c r="I44" s="62"/>
      <c r="J44" s="62"/>
      <c r="K44" s="62"/>
      <c r="L44" s="63"/>
      <c r="M44" s="56"/>
    </row>
    <row r="45" spans="1:14" x14ac:dyDescent="0.25">
      <c r="H45" s="61"/>
      <c r="I45" s="62"/>
      <c r="J45" s="62"/>
      <c r="K45" s="62"/>
      <c r="L45" s="63"/>
      <c r="M45" s="56"/>
    </row>
    <row r="46" spans="1:14" x14ac:dyDescent="0.25">
      <c r="H46" s="61"/>
      <c r="I46" s="62"/>
      <c r="J46" s="62"/>
      <c r="K46" s="62"/>
      <c r="L46" s="63"/>
      <c r="M46" s="48"/>
    </row>
    <row r="47" spans="1:14" x14ac:dyDescent="0.25">
      <c r="H47" s="64"/>
      <c r="I47" s="65"/>
      <c r="J47" s="65"/>
      <c r="K47" s="65"/>
      <c r="L47" s="66"/>
      <c r="M47" s="48"/>
    </row>
    <row r="53" spans="8:8" x14ac:dyDescent="0.25">
      <c r="H53" s="49"/>
    </row>
  </sheetData>
  <mergeCells count="15">
    <mergeCell ref="H19:J19"/>
    <mergeCell ref="A1:J1"/>
    <mergeCell ref="N1:O1"/>
    <mergeCell ref="D3:E3"/>
    <mergeCell ref="H3:M7"/>
    <mergeCell ref="K9:L9"/>
    <mergeCell ref="H21:L21"/>
    <mergeCell ref="J22:K22"/>
    <mergeCell ref="H35:L35"/>
    <mergeCell ref="M35:M45"/>
    <mergeCell ref="H37:K37"/>
    <mergeCell ref="H38:K38"/>
    <mergeCell ref="H39:K39"/>
    <mergeCell ref="H40:K40"/>
    <mergeCell ref="H41:L47"/>
  </mergeCells>
  <hyperlinks>
    <hyperlink ref="N1" location="BudgetSummary" display="Instruction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dc:creator>
  <cp:lastModifiedBy>Alan</cp:lastModifiedBy>
  <dcterms:created xsi:type="dcterms:W3CDTF">2026-04-02T16:31:59Z</dcterms:created>
  <dcterms:modified xsi:type="dcterms:W3CDTF">2026-04-02T17:08:02Z</dcterms:modified>
</cp:coreProperties>
</file>